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 Aging" sheetId="1" state="visible" r:id="rId1"/>
    <sheet xmlns:r="http://schemas.openxmlformats.org/officeDocument/2006/relationships" name="By Vendor" sheetId="2" state="visible" r:id="rId2"/>
  </sheets>
  <definedNames>
    <definedName name="_xlnm.Print_Area" localSheetId="0">'AP Aging'!$A$1:$S$27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yyyy-mm-dd"/>
    <numFmt numFmtId="165" formatCode="mmm d, yyyy"/>
    <numFmt numFmtId="166" formatCode="d mmm yy"/>
    <numFmt numFmtId="167" formatCode="#,##0.00;(#,##0.00);&quot;–&quot;"/>
    <numFmt numFmtId="168" formatCode="0;-0;–"/>
    <numFmt numFmtId="169" formatCode="0%;;&quot;&quot;"/>
    <numFmt numFmtId="170" formatCode="d mmm"/>
    <numFmt numFmtId="171" formatCode="0.0%"/>
    <numFmt numFmtId="172" formatCode="&quot;$&quot;#,##0"/>
    <numFmt numFmtId="173" formatCode="&quot;$&quot;#,##0.00"/>
  </numFmts>
  <fonts count="19">
    <font>
      <name val="Calibri"/>
      <family val="2"/>
      <color theme="1"/>
      <sz val="11"/>
      <scheme val="minor"/>
    </font>
    <font>
      <name val="Segoe UI"/>
      <b val="1"/>
      <color rgb="00FFFFFF"/>
      <sz val="18"/>
    </font>
    <font>
      <name val="Segoe UI"/>
      <b val="1"/>
      <color rgb="00FFFFFF"/>
      <sz val="10"/>
    </font>
    <font>
      <name val="Segoe UI"/>
      <color rgb="00C9C6E6"/>
      <sz val="8.5"/>
    </font>
    <font>
      <name val="Segoe UI"/>
      <b val="1"/>
      <color rgb="00F0A500"/>
      <sz val="8"/>
    </font>
    <font>
      <name val="Segoe UI"/>
      <b val="1"/>
      <color rgb="001F1D33"/>
      <sz val="14"/>
    </font>
    <font>
      <name val="Segoe UI"/>
      <color rgb="006E6B85"/>
      <sz val="8"/>
    </font>
    <font>
      <name val="Segoe UI"/>
      <color rgb="00C9C6E6"/>
      <sz val="8"/>
    </font>
    <font>
      <name val="Segoe UI"/>
      <b val="1"/>
      <color rgb="00FFFFFF"/>
      <sz val="8.5"/>
    </font>
    <font>
      <name val="Segoe UI"/>
      <b val="1"/>
      <color rgb="001F1D33"/>
      <sz val="9.5"/>
    </font>
    <font>
      <name val="Segoe UI"/>
      <color rgb="001F1D33"/>
      <sz val="9"/>
    </font>
    <font>
      <name val="Segoe UI"/>
      <b val="1"/>
      <color rgb="001F1D33"/>
      <sz val="8.5"/>
    </font>
    <font>
      <name val="Segoe UI"/>
      <i val="1"/>
      <color rgb="006E6B85"/>
      <sz val="8.5"/>
    </font>
    <font>
      <name val="Segoe UI"/>
      <b val="1"/>
      <color rgb="00FFFFFF"/>
      <sz val="9.5"/>
    </font>
    <font>
      <name val="Segoe UI"/>
      <b val="1"/>
      <color rgb="006E6B85"/>
      <sz val="8.5"/>
    </font>
    <font>
      <name val="Segoe UI"/>
      <b val="1"/>
      <color rgb="00FFFFFF"/>
      <sz val="16"/>
    </font>
    <font>
      <name val="Segoe UI"/>
      <b val="1"/>
      <color rgb="00FFFFFF"/>
      <sz val="14"/>
    </font>
    <font>
      <name val="Segoe UI"/>
      <color rgb="001F1D33"/>
      <sz val="9.5"/>
    </font>
    <font>
      <name val="Segoe UI"/>
      <b val="1"/>
      <color rgb="00FFFFFF"/>
      <sz val="9"/>
    </font>
  </fonts>
  <fills count="6">
    <fill>
      <patternFill/>
    </fill>
    <fill>
      <patternFill patternType="gray125"/>
    </fill>
    <fill>
      <patternFill patternType="solid">
        <fgColor rgb="002E2A6B"/>
      </patternFill>
    </fill>
    <fill>
      <patternFill patternType="solid">
        <fgColor rgb="00F0A500"/>
      </patternFill>
    </fill>
    <fill>
      <patternFill patternType="solid">
        <fgColor rgb="00FFF4D6"/>
      </patternFill>
    </fill>
    <fill>
      <patternFill patternType="solid">
        <fgColor rgb="00ECEBF5"/>
      </patternFill>
    </fill>
  </fills>
  <borders count="2">
    <border>
      <left/>
      <right/>
      <top/>
      <bottom/>
      <diagonal/>
    </border>
    <border>
      <bottom style="thin">
        <color rgb="00D6D4E4"/>
      </bottom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0" fillId="3" borderId="0" pivotButton="0" quotePrefix="0" xfId="0"/>
    <xf numFmtId="0" fontId="1" fillId="2" borderId="0" applyAlignment="1" pivotButton="0" quotePrefix="0" xfId="0">
      <alignment vertical="center" indent="1"/>
    </xf>
    <xf numFmtId="0" fontId="2" fillId="2" borderId="0" applyAlignment="1" pivotButton="0" quotePrefix="0" xfId="0">
      <alignment horizontal="right" vertical="center"/>
    </xf>
    <xf numFmtId="0" fontId="4" fillId="2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center" vertical="center" wrapText="1"/>
    </xf>
    <xf numFmtId="0" fontId="3" fillId="2" borderId="0" applyAlignment="1" pivotButton="0" quotePrefix="0" xfId="0">
      <alignment horizontal="right" vertical="center"/>
    </xf>
    <xf numFmtId="0" fontId="0" fillId="2" borderId="0" pivotButton="0" quotePrefix="0" xfId="0"/>
    <xf numFmtId="0" fontId="7" fillId="2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left" vertical="center" indent="1"/>
    </xf>
    <xf numFmtId="0" fontId="0" fillId="5" borderId="0" pivotButton="0" quotePrefix="0" xfId="0"/>
    <xf numFmtId="0" fontId="6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172" fontId="15" fillId="2" borderId="0" applyAlignment="1" pivotButton="0" quotePrefix="0" xfId="0">
      <alignment horizontal="left" vertical="center" indent="1"/>
    </xf>
    <xf numFmtId="172" fontId="5" fillId="5" borderId="0" applyAlignment="1" pivotButton="0" quotePrefix="0" xfId="0">
      <alignment horizontal="left" vertical="center" indent="1"/>
    </xf>
    <xf numFmtId="173" fontId="5" fillId="4" borderId="0" applyAlignment="1" pivotButton="0" quotePrefix="0" xfId="0">
      <alignment horizontal="left" vertical="center" indent="1"/>
    </xf>
    <xf numFmtId="0" fontId="8" fillId="2" borderId="0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indent="1"/>
    </xf>
    <xf numFmtId="0" fontId="10" fillId="0" borderId="1" applyAlignment="1" pivotButton="0" quotePrefix="0" xfId="0">
      <alignment horizontal="center" vertical="center" wrapText="1"/>
    </xf>
    <xf numFmtId="166" fontId="10" fillId="0" borderId="1" applyAlignment="1" pivotButton="0" quotePrefix="0" xfId="0">
      <alignment horizontal="center" vertical="center" wrapText="1"/>
    </xf>
    <xf numFmtId="167" fontId="10" fillId="0" borderId="1" applyAlignment="1" pivotButton="0" quotePrefix="0" xfId="0">
      <alignment horizontal="right" vertical="center"/>
    </xf>
    <xf numFmtId="167" fontId="9" fillId="0" borderId="1" applyAlignment="1" pivotButton="0" quotePrefix="0" xfId="0">
      <alignment horizontal="right" vertical="center"/>
    </xf>
    <xf numFmtId="168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169" fontId="10" fillId="0" borderId="1" applyAlignment="1" pivotButton="0" quotePrefix="0" xfId="0">
      <alignment horizontal="center" vertical="center" wrapText="1"/>
    </xf>
    <xf numFmtId="170" fontId="10" fillId="0" borderId="1" applyAlignment="1" pivotButton="0" quotePrefix="0" xfId="0">
      <alignment horizontal="center" vertical="center" wrapText="1"/>
    </xf>
    <xf numFmtId="0" fontId="12" fillId="0" borderId="1" applyAlignment="1" pivotButton="0" quotePrefix="0" xfId="0">
      <alignment vertical="center" wrapText="1" indent="1"/>
    </xf>
    <xf numFmtId="0" fontId="9" fillId="5" borderId="1" applyAlignment="1" pivotButton="0" quotePrefix="0" xfId="0">
      <alignment horizontal="left" vertical="center" indent="1"/>
    </xf>
    <xf numFmtId="0" fontId="10" fillId="5" borderId="1" applyAlignment="1" pivotButton="0" quotePrefix="0" xfId="0">
      <alignment horizontal="center" vertical="center" wrapText="1"/>
    </xf>
    <xf numFmtId="166" fontId="10" fillId="5" borderId="1" applyAlignment="1" pivotButton="0" quotePrefix="0" xfId="0">
      <alignment horizontal="center" vertical="center" wrapText="1"/>
    </xf>
    <xf numFmtId="167" fontId="10" fillId="5" borderId="1" applyAlignment="1" pivotButton="0" quotePrefix="0" xfId="0">
      <alignment horizontal="right" vertical="center"/>
    </xf>
    <xf numFmtId="167" fontId="9" fillId="5" borderId="1" applyAlignment="1" pivotButton="0" quotePrefix="0" xfId="0">
      <alignment horizontal="right" vertical="center"/>
    </xf>
    <xf numFmtId="168" fontId="10" fillId="5" borderId="1" applyAlignment="1" pivotButton="0" quotePrefix="0" xfId="0">
      <alignment horizontal="center" vertical="center" wrapText="1"/>
    </xf>
    <xf numFmtId="0" fontId="11" fillId="5" borderId="1" applyAlignment="1" pivotButton="0" quotePrefix="0" xfId="0">
      <alignment horizontal="center" vertical="center" wrapText="1"/>
    </xf>
    <xf numFmtId="169" fontId="10" fillId="5" borderId="1" applyAlignment="1" pivotButton="0" quotePrefix="0" xfId="0">
      <alignment horizontal="center" vertical="center" wrapText="1"/>
    </xf>
    <xf numFmtId="170" fontId="10" fillId="5" borderId="1" applyAlignment="1" pivotButton="0" quotePrefix="0" xfId="0">
      <alignment horizontal="center" vertical="center" wrapText="1"/>
    </xf>
    <xf numFmtId="0" fontId="12" fillId="5" borderId="1" applyAlignment="1" pivotButton="0" quotePrefix="0" xfId="0">
      <alignment vertical="center" wrapText="1" indent="1"/>
    </xf>
    <xf numFmtId="0" fontId="13" fillId="2" borderId="0" applyAlignment="1" pivotButton="0" quotePrefix="0" xfId="0">
      <alignment horizontal="left" vertical="center" indent="1"/>
    </xf>
    <xf numFmtId="167" fontId="13" fillId="2" borderId="0" applyAlignment="1" pivotButton="0" quotePrefix="0" xfId="0">
      <alignment horizontal="right" vertical="center"/>
    </xf>
    <xf numFmtId="167" fontId="9" fillId="3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 indent="1"/>
    </xf>
    <xf numFmtId="171" fontId="14" fillId="0" borderId="0" applyAlignment="1" pivotButton="0" quotePrefix="0" xfId="0">
      <alignment horizontal="right" vertical="center"/>
    </xf>
    <xf numFmtId="0" fontId="16" fillId="2" borderId="0" applyAlignment="1" pivotButton="0" quotePrefix="0" xfId="0">
      <alignment horizontal="left" vertical="center" indent="1"/>
    </xf>
    <xf numFmtId="0" fontId="11" fillId="4" borderId="1" applyAlignment="1" pivotButton="0" quotePrefix="0" xfId="0">
      <alignment horizontal="center" vertical="center" wrapText="1"/>
    </xf>
    <xf numFmtId="167" fontId="17" fillId="0" borderId="1" applyAlignment="1" pivotButton="0" quotePrefix="0" xfId="0">
      <alignment horizontal="right" vertical="center"/>
    </xf>
    <xf numFmtId="1" fontId="17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indent="1"/>
    </xf>
    <xf numFmtId="0" fontId="13" fillId="2" borderId="1" applyAlignment="1" pivotButton="0" quotePrefix="0" xfId="0">
      <alignment horizontal="left" vertical="center" indent="1"/>
    </xf>
    <xf numFmtId="167" fontId="13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18" fillId="2" borderId="1" applyAlignment="1" pivotButton="0" quotePrefix="0" xfId="0">
      <alignment horizontal="left" vertical="center" indent="1"/>
    </xf>
  </cellXfs>
  <cellStyles count="1">
    <cellStyle name="Normal" xfId="0" builtinId="0" hidden="0"/>
  </cellStyles>
  <dxfs count="6">
    <dxf>
      <font>
        <name val="Segoe UI"/>
        <b val="1"/>
        <color rgb="00FFFFFF"/>
      </font>
      <fill>
        <patternFill patternType="solid">
          <fgColor rgb="00B3261E"/>
        </patternFill>
      </fill>
    </dxf>
    <dxf>
      <font>
        <name val="Segoe UI"/>
        <b val="1"/>
        <color rgb="00B3261E"/>
      </font>
    </dxf>
    <dxf>
      <font>
        <name val="Segoe UI"/>
        <b val="1"/>
        <color rgb="00B26A00"/>
      </font>
    </dxf>
    <dxf>
      <font>
        <name val="Segoe UI"/>
        <i val="1"/>
        <color rgb="009A98AE"/>
      </font>
    </dxf>
    <dxf>
      <font>
        <name val="Segoe UI"/>
        <b val="1"/>
      </font>
      <fill>
        <patternFill patternType="solid">
          <fgColor rgb="00F0A500"/>
        </patternFill>
      </fill>
    </dxf>
    <dxf>
      <font>
        <name val="Segoe UI"/>
        <strike val="1"/>
        <color rgb="009A98A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S26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.5" customWidth="1" min="1" max="1"/>
    <col width="22" customWidth="1" min="2" max="2"/>
    <col width="11" customWidth="1" min="3" max="3"/>
    <col width="10" customWidth="1" min="4" max="4"/>
    <col width="6" customWidth="1" min="5" max="5"/>
    <col width="10" customWidth="1" min="6" max="6"/>
    <col width="11" customWidth="1" min="7" max="7"/>
    <col width="10" customWidth="1" min="8" max="8"/>
    <col width="11" customWidth="1" min="9" max="9"/>
    <col width="7" customWidth="1" min="10" max="10"/>
    <col width="9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8" customWidth="1" min="17" max="17"/>
    <col width="9" customWidth="1" min="18" max="18"/>
    <col width="22" customWidth="1" min="19" max="19"/>
  </cols>
  <sheetData>
    <row r="2" ht="22" customHeight="1">
      <c r="A2" s="1" t="n"/>
      <c r="B2" s="2" t="inlineStr">
        <is>
          <t>Accounts Payable Aging Report</t>
        </is>
      </c>
      <c r="J2" s="3" t="inlineStr">
        <is>
          <t>Brightwater Foods Distribution</t>
        </is>
      </c>
      <c r="O2" s="4" t="inlineStr">
        <is>
          <t>AGED AS OF</t>
        </is>
      </c>
      <c r="Q2" s="5" t="n">
        <v>46295</v>
      </c>
    </row>
    <row r="3" ht="20" customHeight="1">
      <c r="A3" s="1" t="n"/>
      <c r="J3" s="6" t="inlineStr">
        <is>
          <t>Bills owed to suppliers, aged by days past due</t>
        </is>
      </c>
      <c r="O3" s="7" t="n"/>
    </row>
    <row r="5">
      <c r="B5" s="8" t="inlineStr">
        <is>
          <t>Total owed</t>
        </is>
      </c>
      <c r="C5" s="7" t="n"/>
      <c r="D5" s="9" t="inlineStr">
        <is>
          <t>Current</t>
        </is>
      </c>
      <c r="E5" s="10" t="n"/>
      <c r="F5" s="10" t="n"/>
      <c r="G5" s="9" t="inlineStr">
        <is>
          <t>1–30 days</t>
        </is>
      </c>
      <c r="H5" s="10" t="n"/>
      <c r="I5" s="9" t="inlineStr">
        <is>
          <t>31–60 days</t>
        </is>
      </c>
      <c r="J5" s="10" t="n"/>
      <c r="K5" s="10" t="n"/>
      <c r="L5" s="9" t="inlineStr">
        <is>
          <t>61–90 days</t>
        </is>
      </c>
      <c r="M5" s="10" t="n"/>
      <c r="N5" s="9" t="inlineStr">
        <is>
          <t>Over 90 days</t>
        </is>
      </c>
      <c r="O5" s="10" t="n"/>
      <c r="P5" s="10" t="n"/>
      <c r="R5" s="11" t="inlineStr">
        <is>
          <t>Discounts still open</t>
        </is>
      </c>
      <c r="S5" s="12" t="n"/>
    </row>
    <row r="6" ht="24" customHeight="1">
      <c r="B6" s="13">
        <f>I25</f>
        <v/>
      </c>
      <c r="C6" s="7" t="n"/>
      <c r="D6" s="14">
        <f>L25</f>
        <v/>
      </c>
      <c r="E6" s="10" t="n"/>
      <c r="F6" s="10" t="n"/>
      <c r="G6" s="14">
        <f>M25</f>
        <v/>
      </c>
      <c r="H6" s="10" t="n"/>
      <c r="I6" s="14">
        <f>N25</f>
        <v/>
      </c>
      <c r="J6" s="10" t="n"/>
      <c r="K6" s="10" t="n"/>
      <c r="L6" s="14">
        <f>O25</f>
        <v/>
      </c>
      <c r="M6" s="10" t="n"/>
      <c r="N6" s="14">
        <f>P25</f>
        <v/>
      </c>
      <c r="O6" s="10" t="n"/>
      <c r="P6" s="10" t="n"/>
      <c r="R6" s="15">
        <f>SUMPRODUCT((Q10:Q24&gt;0)*(R10:R24&gt;=$Q$2)*(I10:I24&gt;0),I10:I24,Q10:Q24)</f>
        <v/>
      </c>
      <c r="S6" s="12" t="n"/>
    </row>
    <row r="7">
      <c r="B7" s="8">
        <f>COUNTIFS(I10:I24,"&gt;0")&amp;" open bills  ·  "&amp;COUNTIFS(J10:J24,"&gt;0",I10:I24,"&gt;0")&amp;" past due"</f>
        <v/>
      </c>
      <c r="C7" s="7" t="n"/>
      <c r="D7" s="9">
        <f>TEXT(L26,"0%")&amp;" of total  ·  "&amp;COUNTIF($K$10:$K$24,"Current")&amp;IF(COUNTIF($K$10:$K$24,"Current")=1," bill"," bills")</f>
        <v/>
      </c>
      <c r="E7" s="10" t="n"/>
      <c r="F7" s="10" t="n"/>
      <c r="G7" s="9">
        <f>TEXT(M26,"0%")&amp;" of total  ·  "&amp;COUNTIF($K$10:$K$24,"1–30")&amp;IF(COUNTIF($K$10:$K$24,"1–30")=1," bill"," bills")</f>
        <v/>
      </c>
      <c r="H7" s="10" t="n"/>
      <c r="I7" s="9">
        <f>TEXT(N26,"0%")&amp;" of total  ·  "&amp;COUNTIF($K$10:$K$24,"31–60")&amp;IF(COUNTIF($K$10:$K$24,"31–60")=1," bill"," bills")</f>
        <v/>
      </c>
      <c r="J7" s="10" t="n"/>
      <c r="K7" s="10" t="n"/>
      <c r="L7" s="9">
        <f>TEXT(O26,"0%")&amp;" of total  ·  "&amp;COUNTIF($K$10:$K$24,"61–90")&amp;IF(COUNTIF($K$10:$K$24,"61–90")=1," bill"," bills")</f>
        <v/>
      </c>
      <c r="M7" s="10" t="n"/>
      <c r="N7" s="9">
        <f>TEXT(P26,"0%")&amp;" of total  ·  "&amp;COUNTIF($K$10:$K$24,"90+")&amp;IF(COUNTIF($K$10:$K$24,"90+")=1," bill"," bills")</f>
        <v/>
      </c>
      <c r="O7" s="10" t="n"/>
      <c r="P7" s="10" t="n"/>
      <c r="R7" s="11" t="inlineStr">
        <is>
          <t>saved if paid before the deadline</t>
        </is>
      </c>
      <c r="S7" s="12" t="n"/>
    </row>
    <row r="9" ht="26" customHeight="1">
      <c r="B9" s="16" t="inlineStr">
        <is>
          <t>Vendor</t>
        </is>
      </c>
      <c r="C9" s="16" t="inlineStr">
        <is>
          <t>Invoice #</t>
        </is>
      </c>
      <c r="D9" s="16" t="inlineStr">
        <is>
          <t>Invoice date</t>
        </is>
      </c>
      <c r="E9" s="16" t="inlineStr">
        <is>
          <t>Terms</t>
        </is>
      </c>
      <c r="F9" s="16" t="inlineStr">
        <is>
          <t>Due date</t>
        </is>
      </c>
      <c r="G9" s="16" t="inlineStr">
        <is>
          <t>Amount</t>
        </is>
      </c>
      <c r="H9" s="16" t="inlineStr">
        <is>
          <t>Paid</t>
        </is>
      </c>
      <c r="I9" s="16" t="inlineStr">
        <is>
          <t>Balance</t>
        </is>
      </c>
      <c r="J9" s="16" t="inlineStr">
        <is>
          <t>Days late</t>
        </is>
      </c>
      <c r="K9" s="16" t="inlineStr">
        <is>
          <t>Status</t>
        </is>
      </c>
      <c r="L9" s="16" t="inlineStr">
        <is>
          <t>Current</t>
        </is>
      </c>
      <c r="M9" s="16" t="inlineStr">
        <is>
          <t>1–30</t>
        </is>
      </c>
      <c r="N9" s="16" t="inlineStr">
        <is>
          <t>31–60</t>
        </is>
      </c>
      <c r="O9" s="16" t="inlineStr">
        <is>
          <t>61–90</t>
        </is>
      </c>
      <c r="P9" s="16" t="inlineStr">
        <is>
          <t>90+</t>
        </is>
      </c>
      <c r="Q9" s="16" t="inlineStr">
        <is>
          <t>Disc %</t>
        </is>
      </c>
      <c r="R9" s="16" t="inlineStr">
        <is>
          <t>Disc by</t>
        </is>
      </c>
      <c r="S9" s="16" t="inlineStr">
        <is>
          <t>Notes</t>
        </is>
      </c>
    </row>
    <row r="10" ht="19" customHeight="1">
      <c r="B10" s="17" t="inlineStr">
        <is>
          <t>Midland Dairy Co-op</t>
        </is>
      </c>
      <c r="C10" s="18" t="inlineStr">
        <is>
          <t>MD-88412</t>
        </is>
      </c>
      <c r="D10" s="19" t="n">
        <v>46283</v>
      </c>
      <c r="E10" s="18" t="n">
        <v>30</v>
      </c>
      <c r="F10" s="19">
        <f>IF(D10="","",D10+E10)</f>
        <v/>
      </c>
      <c r="G10" s="20" t="n">
        <v>18450</v>
      </c>
      <c r="H10" s="20" t="n">
        <v>0</v>
      </c>
      <c r="I10" s="21">
        <f>IF(G10="","",G10-H10)</f>
        <v/>
      </c>
      <c r="J10" s="22">
        <f>IF(OR(F10="",N(I10)&lt;=0),0,MAX(0,$Q$2-F10))</f>
        <v/>
      </c>
      <c r="K10" s="23">
        <f>IF(I10="","",IF(I10&lt;=0,"Paid",IF(J10=0,"Current",IF(J10&lt;=30,"1–30",IF(J10&lt;=60,"31–60",IF(J10&lt;=90,"61–90","90+"))))))</f>
        <v/>
      </c>
      <c r="L10" s="20">
        <f>IF(K10="Current",I10,0)</f>
        <v/>
      </c>
      <c r="M10" s="20">
        <f>IF(K10="1–30",I10,0)</f>
        <v/>
      </c>
      <c r="N10" s="20">
        <f>IF(K10="31–60",I10,0)</f>
        <v/>
      </c>
      <c r="O10" s="20">
        <f>IF(K10="61–90",I10,0)</f>
        <v/>
      </c>
      <c r="P10" s="20">
        <f>IF(K10="90+",I10,0)</f>
        <v/>
      </c>
      <c r="Q10" s="24" t="n">
        <v>0.02</v>
      </c>
      <c r="R10" s="25">
        <f>IF(OR(Q10="",Q10=0),"",D10+10)</f>
        <v/>
      </c>
      <c r="S10" s="26" t="n"/>
    </row>
    <row r="11" ht="19" customHeight="1">
      <c r="B11" s="27" t="inlineStr">
        <is>
          <t>Midland Dairy Co-op</t>
        </is>
      </c>
      <c r="C11" s="28" t="inlineStr">
        <is>
          <t>MD-88267</t>
        </is>
      </c>
      <c r="D11" s="29" t="n">
        <v>46255</v>
      </c>
      <c r="E11" s="28" t="n">
        <v>30</v>
      </c>
      <c r="F11" s="29">
        <f>IF(D11="","",D11+E11)</f>
        <v/>
      </c>
      <c r="G11" s="30" t="n">
        <v>17980</v>
      </c>
      <c r="H11" s="30" t="n">
        <v>0</v>
      </c>
      <c r="I11" s="31">
        <f>IF(G11="","",G11-H11)</f>
        <v/>
      </c>
      <c r="J11" s="32">
        <f>IF(OR(F11="",N(I11)&lt;=0),0,MAX(0,$Q$2-F11))</f>
        <v/>
      </c>
      <c r="K11" s="33">
        <f>IF(I11="","",IF(I11&lt;=0,"Paid",IF(J11=0,"Current",IF(J11&lt;=30,"1–30",IF(J11&lt;=60,"31–60",IF(J11&lt;=90,"61–90","90+"))))))</f>
        <v/>
      </c>
      <c r="L11" s="30">
        <f>IF(K11="Current",I11,0)</f>
        <v/>
      </c>
      <c r="M11" s="30">
        <f>IF(K11="1–30",I11,0)</f>
        <v/>
      </c>
      <c r="N11" s="30">
        <f>IF(K11="31–60",I11,0)</f>
        <v/>
      </c>
      <c r="O11" s="30">
        <f>IF(K11="61–90",I11,0)</f>
        <v/>
      </c>
      <c r="P11" s="30">
        <f>IF(K11="90+",I11,0)</f>
        <v/>
      </c>
      <c r="Q11" s="34" t="n">
        <v>0.02</v>
      </c>
      <c r="R11" s="35">
        <f>IF(OR(Q11="",Q11=0),"",D11+10)</f>
        <v/>
      </c>
      <c r="S11" s="36" t="inlineStr">
        <is>
          <t>Paid on vendor call last month</t>
        </is>
      </c>
    </row>
    <row r="12" ht="19" customHeight="1">
      <c r="B12" s="17" t="inlineStr">
        <is>
          <t>Sunfield Produce</t>
        </is>
      </c>
      <c r="C12" s="18" t="inlineStr">
        <is>
          <t>SP-2291</t>
        </is>
      </c>
      <c r="D12" s="19" t="n">
        <v>46289</v>
      </c>
      <c r="E12" s="18" t="n">
        <v>14</v>
      </c>
      <c r="F12" s="19">
        <f>IF(D12="","",D12+E12)</f>
        <v/>
      </c>
      <c r="G12" s="20" t="n">
        <v>9320</v>
      </c>
      <c r="H12" s="20" t="n">
        <v>0</v>
      </c>
      <c r="I12" s="21">
        <f>IF(G12="","",G12-H12)</f>
        <v/>
      </c>
      <c r="J12" s="22">
        <f>IF(OR(F12="",N(I12)&lt;=0),0,MAX(0,$Q$2-F12))</f>
        <v/>
      </c>
      <c r="K12" s="23">
        <f>IF(I12="","",IF(I12&lt;=0,"Paid",IF(J12=0,"Current",IF(J12&lt;=30,"1–30",IF(J12&lt;=60,"31–60",IF(J12&lt;=90,"61–90","90+"))))))</f>
        <v/>
      </c>
      <c r="L12" s="20">
        <f>IF(K12="Current",I12,0)</f>
        <v/>
      </c>
      <c r="M12" s="20">
        <f>IF(K12="1–30",I12,0)</f>
        <v/>
      </c>
      <c r="N12" s="20">
        <f>IF(K12="31–60",I12,0)</f>
        <v/>
      </c>
      <c r="O12" s="20">
        <f>IF(K12="61–90",I12,0)</f>
        <v/>
      </c>
      <c r="P12" s="20">
        <f>IF(K12="90+",I12,0)</f>
        <v/>
      </c>
      <c r="Q12" s="24" t="n"/>
      <c r="R12" s="25" t="n"/>
      <c r="S12" s="26" t="n"/>
    </row>
    <row r="13" ht="19" customHeight="1">
      <c r="B13" s="27" t="inlineStr">
        <is>
          <t>Sunfield Produce</t>
        </is>
      </c>
      <c r="C13" s="28" t="inlineStr">
        <is>
          <t>SP-2240</t>
        </is>
      </c>
      <c r="D13" s="29" t="n">
        <v>46268</v>
      </c>
      <c r="E13" s="28" t="n">
        <v>14</v>
      </c>
      <c r="F13" s="29">
        <f>IF(D13="","",D13+E13)</f>
        <v/>
      </c>
      <c r="G13" s="30" t="n">
        <v>8775</v>
      </c>
      <c r="H13" s="30" t="n">
        <v>0</v>
      </c>
      <c r="I13" s="31">
        <f>IF(G13="","",G13-H13)</f>
        <v/>
      </c>
      <c r="J13" s="32">
        <f>IF(OR(F13="",N(I13)&lt;=0),0,MAX(0,$Q$2-F13))</f>
        <v/>
      </c>
      <c r="K13" s="33">
        <f>IF(I13="","",IF(I13&lt;=0,"Paid",IF(J13=0,"Current",IF(J13&lt;=30,"1–30",IF(J13&lt;=60,"31–60",IF(J13&lt;=90,"61–90","90+"))))))</f>
        <v/>
      </c>
      <c r="L13" s="30">
        <f>IF(K13="Current",I13,0)</f>
        <v/>
      </c>
      <c r="M13" s="30">
        <f>IF(K13="1–30",I13,0)</f>
        <v/>
      </c>
      <c r="N13" s="30">
        <f>IF(K13="31–60",I13,0)</f>
        <v/>
      </c>
      <c r="O13" s="30">
        <f>IF(K13="61–90",I13,0)</f>
        <v/>
      </c>
      <c r="P13" s="30">
        <f>IF(K13="90+",I13,0)</f>
        <v/>
      </c>
      <c r="Q13" s="34" t="n"/>
      <c r="R13" s="35" t="n"/>
      <c r="S13" s="36" t="inlineStr">
        <is>
          <t>Credit hold warning 28 Sep</t>
        </is>
      </c>
    </row>
    <row r="14" ht="19" customHeight="1">
      <c r="B14" s="17" t="inlineStr">
        <is>
          <t>Keystone Fuel</t>
        </is>
      </c>
      <c r="C14" s="18" t="inlineStr">
        <is>
          <t>KF-90214</t>
        </is>
      </c>
      <c r="D14" s="19" t="n">
        <v>46291</v>
      </c>
      <c r="E14" s="18" t="n">
        <v>10</v>
      </c>
      <c r="F14" s="19">
        <f>IF(D14="","",D14+E14)</f>
        <v/>
      </c>
      <c r="G14" s="20" t="n">
        <v>7140</v>
      </c>
      <c r="H14" s="20" t="n">
        <v>0</v>
      </c>
      <c r="I14" s="21">
        <f>IF(G14="","",G14-H14)</f>
        <v/>
      </c>
      <c r="J14" s="22">
        <f>IF(OR(F14="",N(I14)&lt;=0),0,MAX(0,$Q$2-F14))</f>
        <v/>
      </c>
      <c r="K14" s="23">
        <f>IF(I14="","",IF(I14&lt;=0,"Paid",IF(J14=0,"Current",IF(J14&lt;=30,"1–30",IF(J14&lt;=60,"31–60",IF(J14&lt;=90,"61–90","90+"))))))</f>
        <v/>
      </c>
      <c r="L14" s="20">
        <f>IF(K14="Current",I14,0)</f>
        <v/>
      </c>
      <c r="M14" s="20">
        <f>IF(K14="1–30",I14,0)</f>
        <v/>
      </c>
      <c r="N14" s="20">
        <f>IF(K14="31–60",I14,0)</f>
        <v/>
      </c>
      <c r="O14" s="20">
        <f>IF(K14="61–90",I14,0)</f>
        <v/>
      </c>
      <c r="P14" s="20">
        <f>IF(K14="90+",I14,0)</f>
        <v/>
      </c>
      <c r="Q14" s="24" t="n"/>
      <c r="R14" s="25" t="n"/>
      <c r="S14" s="26" t="n"/>
    </row>
    <row r="15" ht="19" customHeight="1">
      <c r="B15" s="27" t="inlineStr">
        <is>
          <t>Keystone Fuel</t>
        </is>
      </c>
      <c r="C15" s="28" t="inlineStr">
        <is>
          <t>KF-90107</t>
        </is>
      </c>
      <c r="D15" s="29" t="n">
        <v>46277</v>
      </c>
      <c r="E15" s="28" t="n">
        <v>10</v>
      </c>
      <c r="F15" s="29">
        <f>IF(D15="","",D15+E15)</f>
        <v/>
      </c>
      <c r="G15" s="30" t="n">
        <v>6880</v>
      </c>
      <c r="H15" s="30" t="n">
        <v>6880</v>
      </c>
      <c r="I15" s="31">
        <f>IF(G15="","",G15-H15)</f>
        <v/>
      </c>
      <c r="J15" s="32">
        <f>IF(OR(F15="",N(I15)&lt;=0),0,MAX(0,$Q$2-F15))</f>
        <v/>
      </c>
      <c r="K15" s="33">
        <f>IF(I15="","",IF(I15&lt;=0,"Paid",IF(J15=0,"Current",IF(J15&lt;=30,"1–30",IF(J15&lt;=60,"31–60",IF(J15&lt;=90,"61–90","90+"))))))</f>
        <v/>
      </c>
      <c r="L15" s="30">
        <f>IF(K15="Current",I15,0)</f>
        <v/>
      </c>
      <c r="M15" s="30">
        <f>IF(K15="1–30",I15,0)</f>
        <v/>
      </c>
      <c r="N15" s="30">
        <f>IF(K15="31–60",I15,0)</f>
        <v/>
      </c>
      <c r="O15" s="30">
        <f>IF(K15="61–90",I15,0)</f>
        <v/>
      </c>
      <c r="P15" s="30">
        <f>IF(K15="90+",I15,0)</f>
        <v/>
      </c>
      <c r="Q15" s="34" t="n"/>
      <c r="R15" s="35" t="n"/>
      <c r="S15" s="36" t="n"/>
    </row>
    <row r="16" ht="19" customHeight="1">
      <c r="B16" s="17" t="inlineStr">
        <is>
          <t>Coastal Packaging</t>
        </is>
      </c>
      <c r="C16" s="18" t="inlineStr">
        <is>
          <t>CP-10455</t>
        </is>
      </c>
      <c r="D16" s="19" t="n">
        <v>46287</v>
      </c>
      <c r="E16" s="18" t="n">
        <v>30</v>
      </c>
      <c r="F16" s="19">
        <f>IF(D16="","",D16+E16)</f>
        <v/>
      </c>
      <c r="G16" s="20" t="n">
        <v>6240</v>
      </c>
      <c r="H16" s="20" t="n">
        <v>0</v>
      </c>
      <c r="I16" s="21">
        <f>IF(G16="","",G16-H16)</f>
        <v/>
      </c>
      <c r="J16" s="22">
        <f>IF(OR(F16="",N(I16)&lt;=0),0,MAX(0,$Q$2-F16))</f>
        <v/>
      </c>
      <c r="K16" s="23">
        <f>IF(I16="","",IF(I16&lt;=0,"Paid",IF(J16=0,"Current",IF(J16&lt;=30,"1–30",IF(J16&lt;=60,"31–60",IF(J16&lt;=90,"61–90","90+"))))))</f>
        <v/>
      </c>
      <c r="L16" s="20">
        <f>IF(K16="Current",I16,0)</f>
        <v/>
      </c>
      <c r="M16" s="20">
        <f>IF(K16="1–30",I16,0)</f>
        <v/>
      </c>
      <c r="N16" s="20">
        <f>IF(K16="31–60",I16,0)</f>
        <v/>
      </c>
      <c r="O16" s="20">
        <f>IF(K16="61–90",I16,0)</f>
        <v/>
      </c>
      <c r="P16" s="20">
        <f>IF(K16="90+",I16,0)</f>
        <v/>
      </c>
      <c r="Q16" s="24" t="n">
        <v>0.01</v>
      </c>
      <c r="R16" s="25">
        <f>IF(OR(Q16="",Q16=0),"",D16+10)</f>
        <v/>
      </c>
      <c r="S16" s="26" t="inlineStr">
        <is>
          <t>Take discount by Oct 2</t>
        </is>
      </c>
    </row>
    <row r="17" ht="19" customHeight="1">
      <c r="B17" s="27" t="inlineStr">
        <is>
          <t>Coastal Packaging</t>
        </is>
      </c>
      <c r="C17" s="28" t="inlineStr">
        <is>
          <t>CP-10302</t>
        </is>
      </c>
      <c r="D17" s="29" t="n">
        <v>46231</v>
      </c>
      <c r="E17" s="28" t="n">
        <v>30</v>
      </c>
      <c r="F17" s="29">
        <f>IF(D17="","",D17+E17)</f>
        <v/>
      </c>
      <c r="G17" s="30" t="n">
        <v>5980</v>
      </c>
      <c r="H17" s="30" t="n">
        <v>3000</v>
      </c>
      <c r="I17" s="31">
        <f>IF(G17="","",G17-H17)</f>
        <v/>
      </c>
      <c r="J17" s="32">
        <f>IF(OR(F17="",N(I17)&lt;=0),0,MAX(0,$Q$2-F17))</f>
        <v/>
      </c>
      <c r="K17" s="33">
        <f>IF(I17="","",IF(I17&lt;=0,"Paid",IF(J17=0,"Current",IF(J17&lt;=30,"1–30",IF(J17&lt;=60,"31–60",IF(J17&lt;=90,"61–90","90+"))))))</f>
        <v/>
      </c>
      <c r="L17" s="30">
        <f>IF(K17="Current",I17,0)</f>
        <v/>
      </c>
      <c r="M17" s="30">
        <f>IF(K17="1–30",I17,0)</f>
        <v/>
      </c>
      <c r="N17" s="30">
        <f>IF(K17="31–60",I17,0)</f>
        <v/>
      </c>
      <c r="O17" s="30">
        <f>IF(K17="61–90",I17,0)</f>
        <v/>
      </c>
      <c r="P17" s="30">
        <f>IF(K17="90+",I17,0)</f>
        <v/>
      </c>
      <c r="Q17" s="34" t="n"/>
      <c r="R17" s="35" t="n"/>
      <c r="S17" s="36" t="inlineStr">
        <is>
          <t>Part-paid; balance agreed</t>
        </is>
      </c>
    </row>
    <row r="18" ht="19" customHeight="1">
      <c r="B18" s="17" t="inlineStr">
        <is>
          <t>Ridgeway Logistics</t>
        </is>
      </c>
      <c r="C18" s="18" t="inlineStr">
        <is>
          <t>RL-7731</t>
        </is>
      </c>
      <c r="D18" s="19" t="n">
        <v>46280</v>
      </c>
      <c r="E18" s="18" t="n">
        <v>15</v>
      </c>
      <c r="F18" s="19">
        <f>IF(D18="","",D18+E18)</f>
        <v/>
      </c>
      <c r="G18" s="20" t="n">
        <v>4860</v>
      </c>
      <c r="H18" s="20" t="n">
        <v>0</v>
      </c>
      <c r="I18" s="21">
        <f>IF(G18="","",G18-H18)</f>
        <v/>
      </c>
      <c r="J18" s="22">
        <f>IF(OR(F18="",N(I18)&lt;=0),0,MAX(0,$Q$2-F18))</f>
        <v/>
      </c>
      <c r="K18" s="23">
        <f>IF(I18="","",IF(I18&lt;=0,"Paid",IF(J18=0,"Current",IF(J18&lt;=30,"1–30",IF(J18&lt;=60,"31–60",IF(J18&lt;=90,"61–90","90+"))))))</f>
        <v/>
      </c>
      <c r="L18" s="20">
        <f>IF(K18="Current",I18,0)</f>
        <v/>
      </c>
      <c r="M18" s="20">
        <f>IF(K18="1–30",I18,0)</f>
        <v/>
      </c>
      <c r="N18" s="20">
        <f>IF(K18="31–60",I18,0)</f>
        <v/>
      </c>
      <c r="O18" s="20">
        <f>IF(K18="61–90",I18,0)</f>
        <v/>
      </c>
      <c r="P18" s="20">
        <f>IF(K18="90+",I18,0)</f>
        <v/>
      </c>
      <c r="Q18" s="24" t="n"/>
      <c r="R18" s="25" t="n"/>
      <c r="S18" s="26" t="n"/>
    </row>
    <row r="19" ht="19" customHeight="1">
      <c r="B19" s="27" t="inlineStr">
        <is>
          <t>Ridgeway Logistics</t>
        </is>
      </c>
      <c r="C19" s="28" t="inlineStr">
        <is>
          <t>RL-7612</t>
        </is>
      </c>
      <c r="D19" s="29" t="n">
        <v>46249</v>
      </c>
      <c r="E19" s="28" t="n">
        <v>15</v>
      </c>
      <c r="F19" s="29">
        <f>IF(D19="","",D19+E19)</f>
        <v/>
      </c>
      <c r="G19" s="30" t="n">
        <v>4615</v>
      </c>
      <c r="H19" s="30" t="n">
        <v>0</v>
      </c>
      <c r="I19" s="31">
        <f>IF(G19="","",G19-H19)</f>
        <v/>
      </c>
      <c r="J19" s="32">
        <f>IF(OR(F19="",N(I19)&lt;=0),0,MAX(0,$Q$2-F19))</f>
        <v/>
      </c>
      <c r="K19" s="33">
        <f>IF(I19="","",IF(I19&lt;=0,"Paid",IF(J19=0,"Current",IF(J19&lt;=30,"1–30",IF(J19&lt;=60,"31–60",IF(J19&lt;=90,"61–90","90+"))))))</f>
        <v/>
      </c>
      <c r="L19" s="30">
        <f>IF(K19="Current",I19,0)</f>
        <v/>
      </c>
      <c r="M19" s="30">
        <f>IF(K19="1–30",I19,0)</f>
        <v/>
      </c>
      <c r="N19" s="30">
        <f>IF(K19="31–60",I19,0)</f>
        <v/>
      </c>
      <c r="O19" s="30">
        <f>IF(K19="61–90",I19,0)</f>
        <v/>
      </c>
      <c r="P19" s="30">
        <f>IF(K19="90+",I19,0)</f>
        <v/>
      </c>
      <c r="Q19" s="34" t="n"/>
      <c r="R19" s="35" t="n"/>
      <c r="S19" s="36" t="inlineStr">
        <is>
          <t>1.5%/mo late fee applies</t>
        </is>
      </c>
    </row>
    <row r="20" ht="19" customHeight="1">
      <c r="B20" s="17" t="inlineStr">
        <is>
          <t>Apex Refrigeration</t>
        </is>
      </c>
      <c r="C20" s="18" t="inlineStr">
        <is>
          <t>AX-5520</t>
        </is>
      </c>
      <c r="D20" s="19" t="n">
        <v>46192</v>
      </c>
      <c r="E20" s="18" t="n">
        <v>30</v>
      </c>
      <c r="F20" s="19">
        <f>IF(D20="","",D20+E20)</f>
        <v/>
      </c>
      <c r="G20" s="20" t="n">
        <v>3450</v>
      </c>
      <c r="H20" s="20" t="n">
        <v>0</v>
      </c>
      <c r="I20" s="21">
        <f>IF(G20="","",G20-H20)</f>
        <v/>
      </c>
      <c r="J20" s="22">
        <f>IF(OR(F20="",N(I20)&lt;=0),0,MAX(0,$Q$2-F20))</f>
        <v/>
      </c>
      <c r="K20" s="23">
        <f>IF(I20="","",IF(I20&lt;=0,"Paid",IF(J20=0,"Current",IF(J20&lt;=30,"1–30",IF(J20&lt;=60,"31–60",IF(J20&lt;=90,"61–90","90+"))))))</f>
        <v/>
      </c>
      <c r="L20" s="20">
        <f>IF(K20="Current",I20,0)</f>
        <v/>
      </c>
      <c r="M20" s="20">
        <f>IF(K20="1–30",I20,0)</f>
        <v/>
      </c>
      <c r="N20" s="20">
        <f>IF(K20="31–60",I20,0)</f>
        <v/>
      </c>
      <c r="O20" s="20">
        <f>IF(K20="61–90",I20,0)</f>
        <v/>
      </c>
      <c r="P20" s="20">
        <f>IF(K20="90+",I20,0)</f>
        <v/>
      </c>
      <c r="Q20" s="24" t="n"/>
      <c r="R20" s="25" t="n"/>
      <c r="S20" s="26" t="inlineStr">
        <is>
          <t>DISPUTED: repeat compressor call</t>
        </is>
      </c>
    </row>
    <row r="21" ht="19" customHeight="1">
      <c r="B21" s="27" t="inlineStr">
        <is>
          <t>Lakeview Facilities</t>
        </is>
      </c>
      <c r="C21" s="28" t="inlineStr">
        <is>
          <t>LF-1188</t>
        </is>
      </c>
      <c r="D21" s="29" t="n">
        <v>46235</v>
      </c>
      <c r="E21" s="28" t="n">
        <v>45</v>
      </c>
      <c r="F21" s="29">
        <f>IF(D21="","",D21+E21)</f>
        <v/>
      </c>
      <c r="G21" s="30" t="n">
        <v>2650</v>
      </c>
      <c r="H21" s="30" t="n">
        <v>0</v>
      </c>
      <c r="I21" s="31">
        <f>IF(G21="","",G21-H21)</f>
        <v/>
      </c>
      <c r="J21" s="32">
        <f>IF(OR(F21="",N(I21)&lt;=0),0,MAX(0,$Q$2-F21))</f>
        <v/>
      </c>
      <c r="K21" s="33">
        <f>IF(I21="","",IF(I21&lt;=0,"Paid",IF(J21=0,"Current",IF(J21&lt;=30,"1–30",IF(J21&lt;=60,"31–60",IF(J21&lt;=90,"61–90","90+"))))))</f>
        <v/>
      </c>
      <c r="L21" s="30">
        <f>IF(K21="Current",I21,0)</f>
        <v/>
      </c>
      <c r="M21" s="30">
        <f>IF(K21="1–30",I21,0)</f>
        <v/>
      </c>
      <c r="N21" s="30">
        <f>IF(K21="31–60",I21,0)</f>
        <v/>
      </c>
      <c r="O21" s="30">
        <f>IF(K21="61–90",I21,0)</f>
        <v/>
      </c>
      <c r="P21" s="30">
        <f>IF(K21="90+",I21,0)</f>
        <v/>
      </c>
      <c r="Q21" s="34" t="n"/>
      <c r="R21" s="35" t="n"/>
      <c r="S21" s="36" t="n"/>
    </row>
    <row r="22" ht="19" customHeight="1">
      <c r="B22" s="17" t="inlineStr">
        <is>
          <t>Harlan Paper Goods</t>
        </is>
      </c>
      <c r="C22" s="18" t="inlineStr">
        <is>
          <t>HP-33018</t>
        </is>
      </c>
      <c r="D22" s="19" t="n">
        <v>46275</v>
      </c>
      <c r="E22" s="18" t="n">
        <v>30</v>
      </c>
      <c r="F22" s="19">
        <f>IF(D22="","",D22+E22)</f>
        <v/>
      </c>
      <c r="G22" s="20" t="n">
        <v>2315.4</v>
      </c>
      <c r="H22" s="20" t="n">
        <v>0</v>
      </c>
      <c r="I22" s="21">
        <f>IF(G22="","",G22-H22)</f>
        <v/>
      </c>
      <c r="J22" s="22">
        <f>IF(OR(F22="",N(I22)&lt;=0),0,MAX(0,$Q$2-F22))</f>
        <v/>
      </c>
      <c r="K22" s="23">
        <f>IF(I22="","",IF(I22&lt;=0,"Paid",IF(J22=0,"Current",IF(J22&lt;=30,"1–30",IF(J22&lt;=60,"31–60",IF(J22&lt;=90,"61–90","90+"))))))</f>
        <v/>
      </c>
      <c r="L22" s="20">
        <f>IF(K22="Current",I22,0)</f>
        <v/>
      </c>
      <c r="M22" s="20">
        <f>IF(K22="1–30",I22,0)</f>
        <v/>
      </c>
      <c r="N22" s="20">
        <f>IF(K22="31–60",I22,0)</f>
        <v/>
      </c>
      <c r="O22" s="20">
        <f>IF(K22="61–90",I22,0)</f>
        <v/>
      </c>
      <c r="P22" s="20">
        <f>IF(K22="90+",I22,0)</f>
        <v/>
      </c>
      <c r="Q22" s="24" t="n"/>
      <c r="R22" s="25" t="n"/>
      <c r="S22" s="26" t="n"/>
    </row>
    <row r="23" ht="19" customHeight="1">
      <c r="B23" s="27" t="inlineStr">
        <is>
          <t>Harlan Paper Goods</t>
        </is>
      </c>
      <c r="C23" s="28" t="inlineStr">
        <is>
          <t>HP-32877</t>
        </is>
      </c>
      <c r="D23" s="29" t="n">
        <v>46171</v>
      </c>
      <c r="E23" s="28" t="n">
        <v>30</v>
      </c>
      <c r="F23" s="29">
        <f>IF(D23="","",D23+E23)</f>
        <v/>
      </c>
      <c r="G23" s="30" t="n">
        <v>1186.2</v>
      </c>
      <c r="H23" s="30" t="n">
        <v>0</v>
      </c>
      <c r="I23" s="31">
        <f>IF(G23="","",G23-H23)</f>
        <v/>
      </c>
      <c r="J23" s="32">
        <f>IF(OR(F23="",N(I23)&lt;=0),0,MAX(0,$Q$2-F23))</f>
        <v/>
      </c>
      <c r="K23" s="33">
        <f>IF(I23="","",IF(I23&lt;=0,"Paid",IF(J23=0,"Current",IF(J23&lt;=30,"1–30",IF(J23&lt;=60,"31–60",IF(J23&lt;=90,"61–90","90+"))))))</f>
        <v/>
      </c>
      <c r="L23" s="30">
        <f>IF(K23="Current",I23,0)</f>
        <v/>
      </c>
      <c r="M23" s="30">
        <f>IF(K23="1–30",I23,0)</f>
        <v/>
      </c>
      <c r="N23" s="30">
        <f>IF(K23="31–60",I23,0)</f>
        <v/>
      </c>
      <c r="O23" s="30">
        <f>IF(K23="61–90",I23,0)</f>
        <v/>
      </c>
      <c r="P23" s="30">
        <f>IF(K23="90+",I23,0)</f>
        <v/>
      </c>
      <c r="Q23" s="34" t="n"/>
      <c r="R23" s="35" t="n"/>
      <c r="S23" s="36" t="inlineStr">
        <is>
          <t>Invoice never approved</t>
        </is>
      </c>
    </row>
    <row r="24" ht="19" customHeight="1">
      <c r="B24" s="17" t="n"/>
      <c r="C24" s="18" t="n"/>
      <c r="D24" s="19" t="n"/>
      <c r="E24" s="18" t="n"/>
      <c r="F24" s="19">
        <f>IF(D24="","",D24+E24)</f>
        <v/>
      </c>
      <c r="G24" s="20" t="n"/>
      <c r="H24" s="20" t="n"/>
      <c r="I24" s="21">
        <f>IF(G24="","",G24-H24)</f>
        <v/>
      </c>
      <c r="J24" s="22">
        <f>IF(OR(F24="",N(I24)&lt;=0),0,MAX(0,$Q$2-F24))</f>
        <v/>
      </c>
      <c r="K24" s="23">
        <f>IF(I24="","",IF(I24&lt;=0,"Paid",IF(J24=0,"Current",IF(J24&lt;=30,"1–30",IF(J24&lt;=60,"31–60",IF(J24&lt;=90,"61–90","90+"))))))</f>
        <v/>
      </c>
      <c r="L24" s="20">
        <f>IF(K24="Current",I24,0)</f>
        <v/>
      </c>
      <c r="M24" s="20">
        <f>IF(K24="1–30",I24,0)</f>
        <v/>
      </c>
      <c r="N24" s="20">
        <f>IF(K24="31–60",I24,0)</f>
        <v/>
      </c>
      <c r="O24" s="20">
        <f>IF(K24="61–90",I24,0)</f>
        <v/>
      </c>
      <c r="P24" s="20">
        <f>IF(K24="90+",I24,0)</f>
        <v/>
      </c>
      <c r="Q24" s="24" t="n"/>
      <c r="R24" s="25" t="n"/>
      <c r="S24" s="26" t="n"/>
    </row>
    <row r="25">
      <c r="B25" s="37" t="inlineStr">
        <is>
          <t>TOTAL</t>
        </is>
      </c>
      <c r="C25" s="7" t="n"/>
      <c r="D25" s="7" t="n"/>
      <c r="E25" s="7" t="n"/>
      <c r="F25" s="7" t="n"/>
      <c r="G25" s="38">
        <f>SUM(G10:G24)</f>
        <v/>
      </c>
      <c r="H25" s="38">
        <f>SUM(H10:H24)</f>
        <v/>
      </c>
      <c r="I25" s="38">
        <f>SUM(I10:I24)</f>
        <v/>
      </c>
      <c r="J25" s="7" t="n"/>
      <c r="K25" s="7" t="n"/>
      <c r="L25" s="39">
        <f>SUM(L10:L24)</f>
        <v/>
      </c>
      <c r="M25" s="39">
        <f>SUM(M10:M24)</f>
        <v/>
      </c>
      <c r="N25" s="39">
        <f>SUM(N10:N24)</f>
        <v/>
      </c>
      <c r="O25" s="39">
        <f>SUM(O10:O24)</f>
        <v/>
      </c>
      <c r="P25" s="39">
        <f>SUM(P10:P24)</f>
        <v/>
      </c>
      <c r="Q25" s="7" t="n"/>
      <c r="R25" s="7" t="n"/>
      <c r="S25" s="7" t="n"/>
    </row>
    <row r="26">
      <c r="B26" s="40" t="inlineStr">
        <is>
          <t>% of open balance</t>
        </is>
      </c>
      <c r="L26" s="41">
        <f>IFERROR(L25/$I$25,0)</f>
        <v/>
      </c>
      <c r="M26" s="41">
        <f>IFERROR(M25/$I$25,0)</f>
        <v/>
      </c>
      <c r="N26" s="41">
        <f>IFERROR(N25/$I$25,0)</f>
        <v/>
      </c>
      <c r="O26" s="41">
        <f>IFERROR(O25/$I$25,0)</f>
        <v/>
      </c>
      <c r="P26" s="41">
        <f>IFERROR(P25/$I$25,0)</f>
        <v/>
      </c>
    </row>
  </sheetData>
  <mergeCells count="27">
    <mergeCell ref="Q2:S3"/>
    <mergeCell ref="O3:P3"/>
    <mergeCell ref="L7:M7"/>
    <mergeCell ref="B7:C7"/>
    <mergeCell ref="N5:P5"/>
    <mergeCell ref="D7:F7"/>
    <mergeCell ref="R5:S5"/>
    <mergeCell ref="R7:S7"/>
    <mergeCell ref="G7:H7"/>
    <mergeCell ref="I5:K5"/>
    <mergeCell ref="R6:S6"/>
    <mergeCell ref="L5:M5"/>
    <mergeCell ref="G6:H6"/>
    <mergeCell ref="N6:P6"/>
    <mergeCell ref="D5:F5"/>
    <mergeCell ref="G5:H5"/>
    <mergeCell ref="I6:K6"/>
    <mergeCell ref="O2:P2"/>
    <mergeCell ref="B6:C6"/>
    <mergeCell ref="N7:P7"/>
    <mergeCell ref="J3:N3"/>
    <mergeCell ref="L6:M6"/>
    <mergeCell ref="B5:C5"/>
    <mergeCell ref="J2:N2"/>
    <mergeCell ref="B2:I3"/>
    <mergeCell ref="D6:F6"/>
    <mergeCell ref="I7:K7"/>
  </mergeCells>
  <conditionalFormatting sqref="K10:K24">
    <cfRule type="cellIs" priority="1" operator="equal" dxfId="0">
      <formula>"90+"</formula>
    </cfRule>
    <cfRule type="cellIs" priority="2" operator="equal" dxfId="1">
      <formula>"61–90"</formula>
    </cfRule>
    <cfRule type="cellIs" priority="3" operator="equal" dxfId="2">
      <formula>"31–60"</formula>
    </cfRule>
    <cfRule type="cellIs" priority="4" operator="equal" dxfId="3">
      <formula>"Paid"</formula>
    </cfRule>
  </conditionalFormatting>
  <conditionalFormatting sqref="R10:R24">
    <cfRule type="expression" priority="5" dxfId="4">
      <formula>AND(R10&lt;&gt;"",R10&gt;=$Q$2,I10&gt;0)</formula>
    </cfRule>
    <cfRule type="expression" priority="6" dxfId="5">
      <formula>AND(R10&lt;&gt;"",R10&lt;$Q$2)</formula>
    </cfRule>
  </conditionalFormatting>
  <pageMargins left="0.4" right="0.4" top="0.45" bottom="0.45" header="0.5" footer="0.5"/>
  <pageSetup orientation="landscape" paperSize="1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J13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2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26" customWidth="1" min="10" max="10"/>
    <col width="2" customWidth="1" min="11" max="11"/>
  </cols>
  <sheetData>
    <row r="2" ht="28" customHeight="1">
      <c r="B2" s="42" t="inlineStr">
        <is>
          <t>Aging by vendor  ·  who to pay first</t>
        </is>
      </c>
    </row>
    <row r="4">
      <c r="B4" s="43" t="inlineStr">
        <is>
          <t>Vendor</t>
        </is>
      </c>
      <c r="C4" s="43" t="inlineStr">
        <is>
          <t>Open balance</t>
        </is>
      </c>
      <c r="D4" s="43" t="inlineStr">
        <is>
          <t>Current</t>
        </is>
      </c>
      <c r="E4" s="43" t="inlineStr">
        <is>
          <t>1–30</t>
        </is>
      </c>
      <c r="F4" s="43" t="inlineStr">
        <is>
          <t>31–60</t>
        </is>
      </c>
      <c r="G4" s="43" t="inlineStr">
        <is>
          <t>61–90</t>
        </is>
      </c>
      <c r="H4" s="43" t="inlineStr">
        <is>
          <t>90+</t>
        </is>
      </c>
      <c r="I4" s="43" t="inlineStr">
        <is>
          <t>Oldest (days)</t>
        </is>
      </c>
      <c r="J4" s="43" t="inlineStr">
        <is>
          <t>Suggested action</t>
        </is>
      </c>
    </row>
    <row r="5">
      <c r="B5" s="17" t="inlineStr">
        <is>
          <t>Midland Dairy Co-op</t>
        </is>
      </c>
      <c r="C5" s="31">
        <f>SUMIFS('AP Aging'!$I$10:$I$24,'AP Aging'!$B$10:$B$24,B5)</f>
        <v/>
      </c>
      <c r="D5" s="44">
        <f>SUMIFS('AP Aging'!$L$10:$L$24,'AP Aging'!$B$10:$B$24,B5)</f>
        <v/>
      </c>
      <c r="E5" s="44">
        <f>SUMIFS('AP Aging'!$M$10:$M$24,'AP Aging'!$B$10:$B$24,B5)</f>
        <v/>
      </c>
      <c r="F5" s="44">
        <f>SUMIFS('AP Aging'!$N$10:$N$24,'AP Aging'!$B$10:$B$24,B5)</f>
        <v/>
      </c>
      <c r="G5" s="44">
        <f>SUMIFS('AP Aging'!$O$10:$O$24,'AP Aging'!$B$10:$B$24,B5)</f>
        <v/>
      </c>
      <c r="H5" s="44">
        <f>SUMIFS('AP Aging'!$P$10:$P$24,'AP Aging'!$B$10:$B$24,B5)</f>
        <v/>
      </c>
      <c r="I5" s="45">
        <f>SUMPRODUCT(MAX(('AP Aging'!$B$10:$B$24=B5)*('AP Aging'!$I$10:$I$24&gt;0)*'AP Aging'!$J$10:$J$24))</f>
        <v/>
      </c>
      <c r="J5" s="46">
        <f>IF(C5=0,"Nothing owed",IF(SUMIFS('AP Aging'!$I$10:$I$24,'AP Aging'!$B$10:$B$24,B5,'AP Aging'!$S$10:$S$24,"DISPUTED*")&gt;0,"Hold: resolve dispute first",IF(H5&gt;0,"Pay or query now (90+)",IF(G5+F5&gt;0,"Pay this week",IF(E5&gt;0,"Pay in next run","Pay on due date")))))</f>
        <v/>
      </c>
    </row>
    <row r="6">
      <c r="B6" s="17" t="inlineStr">
        <is>
          <t>Sunfield Produce</t>
        </is>
      </c>
      <c r="C6" s="31">
        <f>SUMIFS('AP Aging'!$I$10:$I$24,'AP Aging'!$B$10:$B$24,B6)</f>
        <v/>
      </c>
      <c r="D6" s="44">
        <f>SUMIFS('AP Aging'!$L$10:$L$24,'AP Aging'!$B$10:$B$24,B6)</f>
        <v/>
      </c>
      <c r="E6" s="44">
        <f>SUMIFS('AP Aging'!$M$10:$M$24,'AP Aging'!$B$10:$B$24,B6)</f>
        <v/>
      </c>
      <c r="F6" s="44">
        <f>SUMIFS('AP Aging'!$N$10:$N$24,'AP Aging'!$B$10:$B$24,B6)</f>
        <v/>
      </c>
      <c r="G6" s="44">
        <f>SUMIFS('AP Aging'!$O$10:$O$24,'AP Aging'!$B$10:$B$24,B6)</f>
        <v/>
      </c>
      <c r="H6" s="44">
        <f>SUMIFS('AP Aging'!$P$10:$P$24,'AP Aging'!$B$10:$B$24,B6)</f>
        <v/>
      </c>
      <c r="I6" s="45">
        <f>SUMPRODUCT(MAX(('AP Aging'!$B$10:$B$24=B6)*('AP Aging'!$I$10:$I$24&gt;0)*'AP Aging'!$J$10:$J$24))</f>
        <v/>
      </c>
      <c r="J6" s="46">
        <f>IF(C6=0,"Nothing owed",IF(SUMIFS('AP Aging'!$I$10:$I$24,'AP Aging'!$B$10:$B$24,B6,'AP Aging'!$S$10:$S$24,"DISPUTED*")&gt;0,"Hold: resolve dispute first",IF(H6&gt;0,"Pay or query now (90+)",IF(G6+F6&gt;0,"Pay this week",IF(E6&gt;0,"Pay in next run","Pay on due date")))))</f>
        <v/>
      </c>
    </row>
    <row r="7">
      <c r="B7" s="17" t="inlineStr">
        <is>
          <t>Keystone Fuel</t>
        </is>
      </c>
      <c r="C7" s="31">
        <f>SUMIFS('AP Aging'!$I$10:$I$24,'AP Aging'!$B$10:$B$24,B7)</f>
        <v/>
      </c>
      <c r="D7" s="44">
        <f>SUMIFS('AP Aging'!$L$10:$L$24,'AP Aging'!$B$10:$B$24,B7)</f>
        <v/>
      </c>
      <c r="E7" s="44">
        <f>SUMIFS('AP Aging'!$M$10:$M$24,'AP Aging'!$B$10:$B$24,B7)</f>
        <v/>
      </c>
      <c r="F7" s="44">
        <f>SUMIFS('AP Aging'!$N$10:$N$24,'AP Aging'!$B$10:$B$24,B7)</f>
        <v/>
      </c>
      <c r="G7" s="44">
        <f>SUMIFS('AP Aging'!$O$10:$O$24,'AP Aging'!$B$10:$B$24,B7)</f>
        <v/>
      </c>
      <c r="H7" s="44">
        <f>SUMIFS('AP Aging'!$P$10:$P$24,'AP Aging'!$B$10:$B$24,B7)</f>
        <v/>
      </c>
      <c r="I7" s="45">
        <f>SUMPRODUCT(MAX(('AP Aging'!$B$10:$B$24=B7)*('AP Aging'!$I$10:$I$24&gt;0)*'AP Aging'!$J$10:$J$24))</f>
        <v/>
      </c>
      <c r="J7" s="46">
        <f>IF(C7=0,"Nothing owed",IF(SUMIFS('AP Aging'!$I$10:$I$24,'AP Aging'!$B$10:$B$24,B7,'AP Aging'!$S$10:$S$24,"DISPUTED*")&gt;0,"Hold: resolve dispute first",IF(H7&gt;0,"Pay or query now (90+)",IF(G7+F7&gt;0,"Pay this week",IF(E7&gt;0,"Pay in next run","Pay on due date")))))</f>
        <v/>
      </c>
    </row>
    <row r="8">
      <c r="B8" s="17" t="inlineStr">
        <is>
          <t>Coastal Packaging</t>
        </is>
      </c>
      <c r="C8" s="31">
        <f>SUMIFS('AP Aging'!$I$10:$I$24,'AP Aging'!$B$10:$B$24,B8)</f>
        <v/>
      </c>
      <c r="D8" s="44">
        <f>SUMIFS('AP Aging'!$L$10:$L$24,'AP Aging'!$B$10:$B$24,B8)</f>
        <v/>
      </c>
      <c r="E8" s="44">
        <f>SUMIFS('AP Aging'!$M$10:$M$24,'AP Aging'!$B$10:$B$24,B8)</f>
        <v/>
      </c>
      <c r="F8" s="44">
        <f>SUMIFS('AP Aging'!$N$10:$N$24,'AP Aging'!$B$10:$B$24,B8)</f>
        <v/>
      </c>
      <c r="G8" s="44">
        <f>SUMIFS('AP Aging'!$O$10:$O$24,'AP Aging'!$B$10:$B$24,B8)</f>
        <v/>
      </c>
      <c r="H8" s="44">
        <f>SUMIFS('AP Aging'!$P$10:$P$24,'AP Aging'!$B$10:$B$24,B8)</f>
        <v/>
      </c>
      <c r="I8" s="45">
        <f>SUMPRODUCT(MAX(('AP Aging'!$B$10:$B$24=B8)*('AP Aging'!$I$10:$I$24&gt;0)*'AP Aging'!$J$10:$J$24))</f>
        <v/>
      </c>
      <c r="J8" s="46">
        <f>IF(C8=0,"Nothing owed",IF(SUMIFS('AP Aging'!$I$10:$I$24,'AP Aging'!$B$10:$B$24,B8,'AP Aging'!$S$10:$S$24,"DISPUTED*")&gt;0,"Hold: resolve dispute first",IF(H8&gt;0,"Pay or query now (90+)",IF(G8+F8&gt;0,"Pay this week",IF(E8&gt;0,"Pay in next run","Pay on due date")))))</f>
        <v/>
      </c>
    </row>
    <row r="9">
      <c r="B9" s="17" t="inlineStr">
        <is>
          <t>Ridgeway Logistics</t>
        </is>
      </c>
      <c r="C9" s="31">
        <f>SUMIFS('AP Aging'!$I$10:$I$24,'AP Aging'!$B$10:$B$24,B9)</f>
        <v/>
      </c>
      <c r="D9" s="44">
        <f>SUMIFS('AP Aging'!$L$10:$L$24,'AP Aging'!$B$10:$B$24,B9)</f>
        <v/>
      </c>
      <c r="E9" s="44">
        <f>SUMIFS('AP Aging'!$M$10:$M$24,'AP Aging'!$B$10:$B$24,B9)</f>
        <v/>
      </c>
      <c r="F9" s="44">
        <f>SUMIFS('AP Aging'!$N$10:$N$24,'AP Aging'!$B$10:$B$24,B9)</f>
        <v/>
      </c>
      <c r="G9" s="44">
        <f>SUMIFS('AP Aging'!$O$10:$O$24,'AP Aging'!$B$10:$B$24,B9)</f>
        <v/>
      </c>
      <c r="H9" s="44">
        <f>SUMIFS('AP Aging'!$P$10:$P$24,'AP Aging'!$B$10:$B$24,B9)</f>
        <v/>
      </c>
      <c r="I9" s="45">
        <f>SUMPRODUCT(MAX(('AP Aging'!$B$10:$B$24=B9)*('AP Aging'!$I$10:$I$24&gt;0)*'AP Aging'!$J$10:$J$24))</f>
        <v/>
      </c>
      <c r="J9" s="46">
        <f>IF(C9=0,"Nothing owed",IF(SUMIFS('AP Aging'!$I$10:$I$24,'AP Aging'!$B$10:$B$24,B9,'AP Aging'!$S$10:$S$24,"DISPUTED*")&gt;0,"Hold: resolve dispute first",IF(H9&gt;0,"Pay or query now (90+)",IF(G9+F9&gt;0,"Pay this week",IF(E9&gt;0,"Pay in next run","Pay on due date")))))</f>
        <v/>
      </c>
    </row>
    <row r="10">
      <c r="B10" s="17" t="inlineStr">
        <is>
          <t>Apex Refrigeration</t>
        </is>
      </c>
      <c r="C10" s="31">
        <f>SUMIFS('AP Aging'!$I$10:$I$24,'AP Aging'!$B$10:$B$24,B10)</f>
        <v/>
      </c>
      <c r="D10" s="44">
        <f>SUMIFS('AP Aging'!$L$10:$L$24,'AP Aging'!$B$10:$B$24,B10)</f>
        <v/>
      </c>
      <c r="E10" s="44">
        <f>SUMIFS('AP Aging'!$M$10:$M$24,'AP Aging'!$B$10:$B$24,B10)</f>
        <v/>
      </c>
      <c r="F10" s="44">
        <f>SUMIFS('AP Aging'!$N$10:$N$24,'AP Aging'!$B$10:$B$24,B10)</f>
        <v/>
      </c>
      <c r="G10" s="44">
        <f>SUMIFS('AP Aging'!$O$10:$O$24,'AP Aging'!$B$10:$B$24,B10)</f>
        <v/>
      </c>
      <c r="H10" s="44">
        <f>SUMIFS('AP Aging'!$P$10:$P$24,'AP Aging'!$B$10:$B$24,B10)</f>
        <v/>
      </c>
      <c r="I10" s="45">
        <f>SUMPRODUCT(MAX(('AP Aging'!$B$10:$B$24=B10)*('AP Aging'!$I$10:$I$24&gt;0)*'AP Aging'!$J$10:$J$24))</f>
        <v/>
      </c>
      <c r="J10" s="46">
        <f>IF(C10=0,"Nothing owed",IF(SUMIFS('AP Aging'!$I$10:$I$24,'AP Aging'!$B$10:$B$24,B10,'AP Aging'!$S$10:$S$24,"DISPUTED*")&gt;0,"Hold: resolve dispute first",IF(H10&gt;0,"Pay or query now (90+)",IF(G10+F10&gt;0,"Pay this week",IF(E10&gt;0,"Pay in next run","Pay on due date")))))</f>
        <v/>
      </c>
    </row>
    <row r="11">
      <c r="B11" s="17" t="inlineStr">
        <is>
          <t>Lakeview Facilities</t>
        </is>
      </c>
      <c r="C11" s="31">
        <f>SUMIFS('AP Aging'!$I$10:$I$24,'AP Aging'!$B$10:$B$24,B11)</f>
        <v/>
      </c>
      <c r="D11" s="44">
        <f>SUMIFS('AP Aging'!$L$10:$L$24,'AP Aging'!$B$10:$B$24,B11)</f>
        <v/>
      </c>
      <c r="E11" s="44">
        <f>SUMIFS('AP Aging'!$M$10:$M$24,'AP Aging'!$B$10:$B$24,B11)</f>
        <v/>
      </c>
      <c r="F11" s="44">
        <f>SUMIFS('AP Aging'!$N$10:$N$24,'AP Aging'!$B$10:$B$24,B11)</f>
        <v/>
      </c>
      <c r="G11" s="44">
        <f>SUMIFS('AP Aging'!$O$10:$O$24,'AP Aging'!$B$10:$B$24,B11)</f>
        <v/>
      </c>
      <c r="H11" s="44">
        <f>SUMIFS('AP Aging'!$P$10:$P$24,'AP Aging'!$B$10:$B$24,B11)</f>
        <v/>
      </c>
      <c r="I11" s="45">
        <f>SUMPRODUCT(MAX(('AP Aging'!$B$10:$B$24=B11)*('AP Aging'!$I$10:$I$24&gt;0)*'AP Aging'!$J$10:$J$24))</f>
        <v/>
      </c>
      <c r="J11" s="46">
        <f>IF(C11=0,"Nothing owed",IF(SUMIFS('AP Aging'!$I$10:$I$24,'AP Aging'!$B$10:$B$24,B11,'AP Aging'!$S$10:$S$24,"DISPUTED*")&gt;0,"Hold: resolve dispute first",IF(H11&gt;0,"Pay or query now (90+)",IF(G11+F11&gt;0,"Pay this week",IF(E11&gt;0,"Pay in next run","Pay on due date")))))</f>
        <v/>
      </c>
    </row>
    <row r="12">
      <c r="B12" s="17" t="inlineStr">
        <is>
          <t>Harlan Paper Goods</t>
        </is>
      </c>
      <c r="C12" s="31">
        <f>SUMIFS('AP Aging'!$I$10:$I$24,'AP Aging'!$B$10:$B$24,B12)</f>
        <v/>
      </c>
      <c r="D12" s="44">
        <f>SUMIFS('AP Aging'!$L$10:$L$24,'AP Aging'!$B$10:$B$24,B12)</f>
        <v/>
      </c>
      <c r="E12" s="44">
        <f>SUMIFS('AP Aging'!$M$10:$M$24,'AP Aging'!$B$10:$B$24,B12)</f>
        <v/>
      </c>
      <c r="F12" s="44">
        <f>SUMIFS('AP Aging'!$N$10:$N$24,'AP Aging'!$B$10:$B$24,B12)</f>
        <v/>
      </c>
      <c r="G12" s="44">
        <f>SUMIFS('AP Aging'!$O$10:$O$24,'AP Aging'!$B$10:$B$24,B12)</f>
        <v/>
      </c>
      <c r="H12" s="44">
        <f>SUMIFS('AP Aging'!$P$10:$P$24,'AP Aging'!$B$10:$B$24,B12)</f>
        <v/>
      </c>
      <c r="I12" s="45">
        <f>SUMPRODUCT(MAX(('AP Aging'!$B$10:$B$24=B12)*('AP Aging'!$I$10:$I$24&gt;0)*'AP Aging'!$J$10:$J$24))</f>
        <v/>
      </c>
      <c r="J12" s="46">
        <f>IF(C12=0,"Nothing owed",IF(SUMIFS('AP Aging'!$I$10:$I$24,'AP Aging'!$B$10:$B$24,B12,'AP Aging'!$S$10:$S$24,"DISPUTED*")&gt;0,"Hold: resolve dispute first",IF(H12&gt;0,"Pay or query now (90+)",IF(G12+F12&gt;0,"Pay this week",IF(E12&gt;0,"Pay in next run","Pay on due date")))))</f>
        <v/>
      </c>
    </row>
    <row r="13">
      <c r="B13" s="47" t="inlineStr">
        <is>
          <t>Total</t>
        </is>
      </c>
      <c r="C13" s="48">
        <f>SUM(C5:C12)</f>
        <v/>
      </c>
      <c r="D13" s="48">
        <f>SUM(D5:D12)</f>
        <v/>
      </c>
      <c r="E13" s="48">
        <f>SUM(E5:E12)</f>
        <v/>
      </c>
      <c r="F13" s="48">
        <f>SUM(F5:F12)</f>
        <v/>
      </c>
      <c r="G13" s="48">
        <f>SUM(G5:G12)</f>
        <v/>
      </c>
      <c r="H13" s="48">
        <f>SUM(H5:H12)</f>
        <v/>
      </c>
      <c r="I13" s="49" t="inlineStr"/>
      <c r="J13" s="50">
        <f>IF(ROUND(C13-'AP Aging'!I25,2)=0,"✓ Ties to AP Aging","✗ Check vendor names")</f>
        <v/>
      </c>
    </row>
  </sheetData>
  <mergeCells count="1">
    <mergeCell ref="B2:J2"/>
  </mergeCells>
  <pageMargins left="0.4" right="0.4" top="0.45" bottom="0.45" header="0.5" footer="0.5"/>
  <pageSetup orientation="landscape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reportsexcel.com</dc:creator>
  <dc:title xmlns:dc="http://purl.org/dc/elements/1.1/">Accounts Payable Aging Report Template</dc:title>
  <dcterms:created xmlns:dcterms="http://purl.org/dc/terms/" xmlns:xsi="http://www.w3.org/2001/XMLSchema-instance" xsi:type="dcterms:W3CDTF">2026-10-17T13:17:01Z</dcterms:created>
  <dcterms:modified xmlns:dcterms="http://purl.org/dc/terms/" xmlns:xsi="http://www.w3.org/2001/XMLSchema-instance" xsi:type="dcterms:W3CDTF">2026-10-17T13:17:01Z</dcterms:modified>
</cp:coreProperties>
</file>